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/>
  </bookViews>
  <sheets>
    <sheet name="GSI &amp; Traditional O&amp;M" sheetId="1" r:id="rId1"/>
    <sheet name="Traditional Cost" sheetId="2" r:id="rId2"/>
    <sheet name="PW &amp; CAC" sheetId="3" r:id="rId3"/>
  </sheets>
  <calcPr calcId="145621"/>
</workbook>
</file>

<file path=xl/calcChain.xml><?xml version="1.0" encoding="utf-8"?>
<calcChain xmlns="http://schemas.openxmlformats.org/spreadsheetml/2006/main">
  <c r="E13" i="2" l="1"/>
  <c r="G31" i="1" l="1"/>
  <c r="G42" i="1"/>
  <c r="E15" i="2"/>
  <c r="E11" i="2"/>
  <c r="E17" i="2"/>
  <c r="E16" i="2"/>
  <c r="E14" i="2"/>
  <c r="E12" i="2"/>
  <c r="E10" i="2"/>
  <c r="E9" i="2"/>
  <c r="E8" i="2"/>
  <c r="E7" i="2"/>
  <c r="E6" i="2"/>
  <c r="D33" i="1"/>
  <c r="D43" i="1" l="1"/>
  <c r="G43" i="1" s="1"/>
  <c r="D34" i="1"/>
  <c r="G34" i="1" s="1"/>
  <c r="D37" i="1"/>
  <c r="D38" i="1" s="1"/>
  <c r="B9" i="2" l="1"/>
  <c r="B10" i="2" s="1"/>
  <c r="C6" i="3" l="1"/>
  <c r="E19" i="2" l="1"/>
  <c r="D19" i="1"/>
  <c r="G19" i="1" s="1"/>
  <c r="G17" i="1"/>
  <c r="G16" i="1"/>
  <c r="G40" i="1"/>
  <c r="G41" i="1"/>
  <c r="G33" i="1"/>
  <c r="G32" i="1"/>
  <c r="G30" i="1"/>
  <c r="G8" i="1"/>
  <c r="E20" i="2" l="1"/>
  <c r="E21" i="2" s="1"/>
  <c r="G18" i="1"/>
  <c r="G35" i="1"/>
  <c r="G39" i="1"/>
  <c r="G38" i="1"/>
  <c r="G37" i="1"/>
  <c r="G15" i="1"/>
  <c r="G14" i="1"/>
  <c r="G13" i="1"/>
  <c r="G9" i="1"/>
  <c r="G7" i="1"/>
  <c r="G6" i="1"/>
  <c r="G4" i="1"/>
  <c r="G5" i="1" s="1"/>
  <c r="C7" i="3" s="1"/>
  <c r="G21" i="1" l="1"/>
  <c r="C11" i="3" s="1"/>
  <c r="B7" i="3"/>
  <c r="D48" i="1"/>
  <c r="E23" i="2"/>
  <c r="E24" i="2"/>
  <c r="G45" i="1"/>
  <c r="B11" i="3" s="1"/>
  <c r="G11" i="1"/>
  <c r="D24" i="1"/>
  <c r="E25" i="2" l="1"/>
  <c r="B6" i="3" s="1"/>
  <c r="H11" i="1"/>
  <c r="C10" i="3" s="1"/>
  <c r="C8" i="3"/>
  <c r="C15" i="3" s="1"/>
  <c r="B15" i="3"/>
  <c r="H45" i="1"/>
  <c r="E24" i="1"/>
  <c r="H21" i="1"/>
  <c r="C13" i="3" s="1"/>
  <c r="B48" i="1" l="1"/>
  <c r="C14" i="3"/>
  <c r="B13" i="3"/>
  <c r="B14" i="3" s="1"/>
  <c r="F48" i="1"/>
  <c r="G48" i="1" s="1"/>
  <c r="F24" i="1"/>
  <c r="G24" i="1" s="1"/>
  <c r="D26" i="1" s="1"/>
  <c r="D50" i="1" l="1"/>
</calcChain>
</file>

<file path=xl/sharedStrings.xml><?xml version="1.0" encoding="utf-8"?>
<sst xmlns="http://schemas.openxmlformats.org/spreadsheetml/2006/main" count="190" uniqueCount="132">
  <si>
    <t>Cost Comparison of Alternatives: Present Worth and Capitalized Annual Cost</t>
  </si>
  <si>
    <t>The preferred alternative has the lowest PW or capitalized cost</t>
  </si>
  <si>
    <t>Cost Analysis for 20 Years without Land Values</t>
  </si>
  <si>
    <t>Capital Cost</t>
  </si>
  <si>
    <t>Item</t>
  </si>
  <si>
    <t>Description</t>
  </si>
  <si>
    <t>Quantity</t>
  </si>
  <si>
    <t>Units</t>
  </si>
  <si>
    <t>Unit Cost</t>
  </si>
  <si>
    <t>Subtotal</t>
  </si>
  <si>
    <t>Annual O&amp;M</t>
  </si>
  <si>
    <t>Plantings</t>
  </si>
  <si>
    <t>replace</t>
  </si>
  <si>
    <t>SF</t>
  </si>
  <si>
    <t>O&amp;M "A"</t>
  </si>
  <si>
    <t>Mulch</t>
  </si>
  <si>
    <t>3" for 3230 SF</t>
  </si>
  <si>
    <t>CY</t>
  </si>
  <si>
    <t>Year of "A"</t>
  </si>
  <si>
    <t>100% replacement</t>
  </si>
  <si>
    <t>lbs</t>
  </si>
  <si>
    <t>EUAC "A"</t>
  </si>
  <si>
    <t>Disposal</t>
  </si>
  <si>
    <t>Media/Mulch</t>
  </si>
  <si>
    <t>ton</t>
  </si>
  <si>
    <t>O&amp;M "B"</t>
  </si>
  <si>
    <t>TOTAL</t>
  </si>
  <si>
    <t>Year of "B"</t>
  </si>
  <si>
    <t>EUAC "B"</t>
  </si>
  <si>
    <t>Capitalized Annual Costs</t>
  </si>
  <si>
    <t>PW Capital &amp; O&amp;M</t>
  </si>
  <si>
    <t>Operation and Maintenance Costs</t>
  </si>
  <si>
    <t>EUAC - Total Equivalent Uniform Annual Cost</t>
  </si>
  <si>
    <t>interest (i):</t>
  </si>
  <si>
    <t>ANNUAL COST</t>
  </si>
  <si>
    <t>Watering, sediment removal, weeding, mulching &amp; pest control</t>
  </si>
  <si>
    <t>Mature</t>
  </si>
  <si>
    <t>Capitalized Annual Costs - the present worth of a project with an infinite life</t>
  </si>
  <si>
    <t>=</t>
  </si>
  <si>
    <t>initial capital costs + (annual + EUAC)/i</t>
  </si>
  <si>
    <t>3 Years COST</t>
  </si>
  <si>
    <t>3 yr cycle</t>
  </si>
  <si>
    <t>Mulch and Pruning</t>
  </si>
  <si>
    <t>14 MHrs/1,000 SF</t>
  </si>
  <si>
    <t>interest</t>
  </si>
  <si>
    <t>Spot Pressure Washing</t>
  </si>
  <si>
    <t>1 hr each for 2 man crew &amp; vactor*</t>
  </si>
  <si>
    <t>Hour</t>
  </si>
  <si>
    <t>Life Cycle</t>
  </si>
  <si>
    <t>20 year</t>
  </si>
  <si>
    <t>Infiltration Test</t>
  </si>
  <si>
    <t xml:space="preserve">1/2 hrs each </t>
  </si>
  <si>
    <t>(P/F,I,3)</t>
  </si>
  <si>
    <t xml:space="preserve">EUAC </t>
  </si>
  <si>
    <t>(P/F,I,6)</t>
  </si>
  <si>
    <t>(P/F,I,9)</t>
  </si>
  <si>
    <t>15 Years COST</t>
  </si>
  <si>
    <t>(P/F,I,12)</t>
  </si>
  <si>
    <t>Grind &amp; Overlay</t>
  </si>
  <si>
    <t>15 yr cycle</t>
  </si>
  <si>
    <t>TN</t>
  </si>
  <si>
    <t>(P/F,I,18)</t>
  </si>
  <si>
    <t xml:space="preserve">Disposal </t>
  </si>
  <si>
    <t>(P/F,I,15)</t>
  </si>
  <si>
    <t>Labor Costs</t>
  </si>
  <si>
    <t>(P/A,I,20)</t>
  </si>
  <si>
    <t>Initial Cost</t>
  </si>
  <si>
    <t xml:space="preserve">Interest </t>
  </si>
  <si>
    <t>Annual Costs</t>
  </si>
  <si>
    <t>3 year  Annual</t>
  </si>
  <si>
    <t>15 year Annual</t>
  </si>
  <si>
    <t>Total Equivalent Uniform Annual Cost (EUAC)</t>
  </si>
  <si>
    <t>Capitalized Annual Costs evaluated at 20 Year Life</t>
  </si>
  <si>
    <t>*Labor Costs</t>
  </si>
  <si>
    <t>Inspection</t>
  </si>
  <si>
    <t xml:space="preserve">Hour </t>
  </si>
  <si>
    <t>1 hour per cart.</t>
  </si>
  <si>
    <t>Cart.</t>
  </si>
  <si>
    <t>max was $750</t>
  </si>
  <si>
    <t>per</t>
  </si>
  <si>
    <t xml:space="preserve">Mainatenance Assumptions (Steve Jackson ext. 2141, June 10, 2013) </t>
  </si>
  <si>
    <t>Labor is 1 hour per  cartridge</t>
  </si>
  <si>
    <t>*$230 per hour for Vactor includes 2 man crew with fuel</t>
  </si>
  <si>
    <t>$200/ton disposal; assume $.1 per lb</t>
  </si>
  <si>
    <t>BayFilter replacement: $750 each</t>
  </si>
  <si>
    <t xml:space="preserve">Estimate of Construction Cost </t>
  </si>
  <si>
    <t>CONSTRUCTION COST</t>
  </si>
  <si>
    <t>Mobilization</t>
  </si>
  <si>
    <t>LS</t>
  </si>
  <si>
    <t>Erosion Control</t>
  </si>
  <si>
    <t>Traffic</t>
  </si>
  <si>
    <t>Excavation</t>
  </si>
  <si>
    <t>Excess Soil Disposal</t>
  </si>
  <si>
    <t>FT</t>
  </si>
  <si>
    <t>Manholes</t>
  </si>
  <si>
    <t>Each</t>
  </si>
  <si>
    <t xml:space="preserve">SUBTOTAL  </t>
  </si>
  <si>
    <t>Contingency</t>
  </si>
  <si>
    <t>SUBTOTAL CONSTRUCTION COST</t>
  </si>
  <si>
    <t>Administration</t>
  </si>
  <si>
    <t>Design &amp; Permitting</t>
  </si>
  <si>
    <t>Construction Management</t>
  </si>
  <si>
    <t>TOTAL PROJECT COST</t>
  </si>
  <si>
    <t>Depth (feet)</t>
  </si>
  <si>
    <t>Excavation (CY)</t>
  </si>
  <si>
    <t>SW Treatment Facilities</t>
  </si>
  <si>
    <t>*Labor</t>
  </si>
  <si>
    <t>GSI - Preferred Alt</t>
  </si>
  <si>
    <t>Traditional - Alt 2</t>
  </si>
  <si>
    <t>Bioretention Media</t>
  </si>
  <si>
    <t>Port Green Infrastructure</t>
  </si>
  <si>
    <t>Treatment Facility</t>
  </si>
  <si>
    <t>12" pipe</t>
  </si>
  <si>
    <t>Surface Area (sft)</t>
  </si>
  <si>
    <t>Conventional Flat Roof</t>
  </si>
  <si>
    <t>sft</t>
  </si>
  <si>
    <t>6" Asphalt</t>
  </si>
  <si>
    <t xml:space="preserve">Port Traditional Alternative </t>
  </si>
  <si>
    <t xml:space="preserve">Traditional Alternative </t>
  </si>
  <si>
    <t xml:space="preserve">Sediment removal </t>
  </si>
  <si>
    <t>Grind &amp; Overlay Standard HMA</t>
  </si>
  <si>
    <t>Roof Replacements</t>
  </si>
  <si>
    <t>Roof Maintenance</t>
  </si>
  <si>
    <t>$0.1/sft/year</t>
  </si>
  <si>
    <t>$6.15 Conv. Flat w/ "B" Deck</t>
  </si>
  <si>
    <t>Filter Replacement are $93.26 each</t>
  </si>
  <si>
    <t>Pump Station</t>
  </si>
  <si>
    <t xml:space="preserve">Each </t>
  </si>
  <si>
    <t>Ea</t>
  </si>
  <si>
    <t>monthtly 2 hrs</t>
  </si>
  <si>
    <t>Catch Basins</t>
  </si>
  <si>
    <t xml:space="preserve">Baysaver Treatment vault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</si>
</sst>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776AF"/>
      <name val="Arial"/>
      <family val="2"/>
    </font>
    <font>
      <b/>
      <sz val="10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rgb="FF3776AF"/>
      <name val="Arial"/>
      <family val="2"/>
    </font>
    <font>
      <sz val="16"/>
      <color rgb="FF17365D"/>
      <name val="Cambria"/>
      <family val="1"/>
    </font>
    <font>
      <b/>
      <sz val="11"/>
      <color theme="1"/>
      <name val="Arial"/>
      <family val="2"/>
    </font>
    <font>
      <sz val="11"/>
      <color rgb="FF3776AF"/>
      <name val="Arial"/>
      <family val="2"/>
    </font>
    <font>
      <sz val="9"/>
      <color rgb="FF3776AF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1" applyNumberFormat="1" applyFont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166" fontId="6" fillId="0" borderId="0" xfId="0" applyNumberFormat="1" applyFont="1"/>
    <xf numFmtId="166" fontId="2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6" fillId="0" borderId="3" xfId="0" applyFont="1" applyBorder="1"/>
    <xf numFmtId="166" fontId="6" fillId="0" borderId="3" xfId="0" applyNumberFormat="1" applyFont="1" applyBorder="1"/>
    <xf numFmtId="1" fontId="0" fillId="0" borderId="0" xfId="0" applyNumberFormat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/>
    <xf numFmtId="1" fontId="6" fillId="0" borderId="0" xfId="0" applyNumberFormat="1" applyFont="1"/>
    <xf numFmtId="1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0" fontId="6" fillId="0" borderId="4" xfId="0" applyFont="1" applyBorder="1" applyAlignment="1">
      <alignment wrapText="1"/>
    </xf>
    <xf numFmtId="166" fontId="6" fillId="0" borderId="4" xfId="0" applyNumberFormat="1" applyFont="1" applyBorder="1"/>
    <xf numFmtId="167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66" fontId="2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right"/>
    </xf>
    <xf numFmtId="9" fontId="6" fillId="0" borderId="0" xfId="0" applyNumberFormat="1" applyFont="1"/>
    <xf numFmtId="0" fontId="9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Border="1" applyAlignment="1"/>
    <xf numFmtId="166" fontId="0" fillId="0" borderId="0" xfId="0" applyNumberForma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166" fontId="2" fillId="0" borderId="4" xfId="0" applyNumberFormat="1" applyFont="1" applyBorder="1"/>
    <xf numFmtId="0" fontId="0" fillId="0" borderId="4" xfId="0" applyBorder="1" applyAlignment="1">
      <alignment horizontal="center"/>
    </xf>
    <xf numFmtId="0" fontId="6" fillId="0" borderId="0" xfId="0" quotePrefix="1" applyFont="1" applyAlignment="1">
      <alignment horizontal="right"/>
    </xf>
    <xf numFmtId="164" fontId="0" fillId="0" borderId="0" xfId="1" applyNumberFormat="1" applyFont="1" applyAlignment="1"/>
    <xf numFmtId="0" fontId="10" fillId="0" borderId="0" xfId="0" applyFont="1" applyAlignment="1"/>
    <xf numFmtId="9" fontId="10" fillId="0" borderId="0" xfId="0" applyNumberFormat="1" applyFont="1"/>
    <xf numFmtId="0" fontId="10" fillId="0" borderId="0" xfId="0" applyFont="1"/>
    <xf numFmtId="0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1" fontId="0" fillId="0" borderId="4" xfId="0" applyNumberFormat="1" applyBorder="1" applyAlignment="1"/>
    <xf numFmtId="165" fontId="2" fillId="0" borderId="4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Border="1"/>
    <xf numFmtId="166" fontId="0" fillId="0" borderId="0" xfId="1" applyNumberFormat="1" applyFont="1" applyFill="1" applyAlignment="1">
      <alignment horizontal="center" wrapText="1"/>
    </xf>
    <xf numFmtId="9" fontId="0" fillId="0" borderId="0" xfId="0" applyNumberFormat="1" applyAlignment="1">
      <alignment horizontal="center"/>
    </xf>
    <xf numFmtId="166" fontId="0" fillId="0" borderId="0" xfId="0" applyNumberFormat="1" applyAlignment="1"/>
    <xf numFmtId="166" fontId="0" fillId="0" borderId="0" xfId="0" applyNumberFormat="1" applyAlignment="1">
      <alignment horizontal="center"/>
    </xf>
    <xf numFmtId="0" fontId="9" fillId="0" borderId="0" xfId="0" applyFont="1" applyAlignment="1"/>
    <xf numFmtId="0" fontId="0" fillId="0" borderId="3" xfId="0" applyBorder="1" applyAlignment="1">
      <alignment wrapText="1"/>
    </xf>
    <xf numFmtId="1" fontId="0" fillId="0" borderId="0" xfId="0" applyNumberFormat="1" applyAlignment="1"/>
    <xf numFmtId="0" fontId="11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9" fontId="0" fillId="0" borderId="0" xfId="2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6" fontId="2" fillId="3" borderId="0" xfId="0" applyNumberFormat="1" applyFont="1" applyFill="1" applyAlignment="1">
      <alignment horizontal="right"/>
    </xf>
    <xf numFmtId="0" fontId="0" fillId="4" borderId="0" xfId="0" applyFont="1" applyFill="1"/>
    <xf numFmtId="9" fontId="0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6" fontId="2" fillId="4" borderId="0" xfId="0" applyNumberFormat="1" applyFont="1" applyFill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0" fillId="0" borderId="0" xfId="0" applyNumberFormat="1" applyBorder="1"/>
    <xf numFmtId="0" fontId="0" fillId="0" borderId="9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11" xfId="1" applyNumberFormat="1" applyFont="1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horizontal="center" wrapText="1"/>
    </xf>
    <xf numFmtId="168" fontId="0" fillId="0" borderId="0" xfId="10" applyNumberFormat="1" applyFont="1" applyAlignment="1">
      <alignment horizontal="center"/>
    </xf>
    <xf numFmtId="168" fontId="0" fillId="0" borderId="0" xfId="10" applyNumberFormat="1" applyFont="1" applyFill="1" applyAlignment="1">
      <alignment horizontal="center"/>
    </xf>
    <xf numFmtId="165" fontId="0" fillId="0" borderId="0" xfId="0" applyNumberFormat="1"/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 wrapText="1"/>
    </xf>
    <xf numFmtId="44" fontId="2" fillId="3" borderId="0" xfId="0" applyNumberFormat="1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Comma" xfId="10" builtinId="3"/>
    <cellStyle name="Currency" xfId="1" builtinId="4"/>
    <cellStyle name="Currency 2" xfId="3"/>
    <cellStyle name="Currency 2 2" xfId="4"/>
    <cellStyle name="Currency 3" xfId="5"/>
    <cellStyle name="Normal" xfId="0" builtinId="0"/>
    <cellStyle name="Normal 2" xfId="6"/>
    <cellStyle name="Normal 2 4" xfId="7"/>
    <cellStyle name="Normal 3" xfId="8"/>
    <cellStyle name="Normal 7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714374</xdr:colOff>
      <xdr:row>0</xdr:row>
      <xdr:rowOff>38100</xdr:rowOff>
    </xdr:from>
    <xdr:to>
      <xdr:col>23</xdr:col>
      <xdr:colOff>264719</xdr:colOff>
      <xdr:row>26</xdr:row>
      <xdr:rowOff>23345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49" y="38100"/>
          <a:ext cx="10656495" cy="501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topLeftCell="A40" workbookViewId="0">
      <selection activeCell="E42" sqref="E42"/>
    </sheetView>
  </sheetViews>
  <sheetFormatPr defaultRowHeight="15" x14ac:dyDescent="0.25"/>
  <cols>
    <col min="1" max="1" width="22.140625" customWidth="1"/>
    <col min="2" max="2" width="22.28515625" customWidth="1"/>
    <col min="3" max="3" width="18.5703125" customWidth="1"/>
    <col min="4" max="4" width="10.42578125" customWidth="1"/>
    <col min="5" max="5" width="10.28515625" customWidth="1"/>
    <col min="6" max="6" width="10.5703125" customWidth="1"/>
    <col min="7" max="7" width="12.42578125" customWidth="1"/>
    <col min="8" max="8" width="14.5703125" customWidth="1"/>
    <col min="10" max="10" width="25" customWidth="1"/>
    <col min="11" max="11" width="17.42578125" customWidth="1"/>
    <col min="12" max="12" width="28.7109375" customWidth="1"/>
  </cols>
  <sheetData>
    <row r="1" spans="1:20" ht="20.25" x14ac:dyDescent="0.3">
      <c r="A1" s="34" t="s">
        <v>110</v>
      </c>
      <c r="B1" s="31"/>
      <c r="C1" s="14"/>
      <c r="D1" s="14"/>
      <c r="E1" s="19"/>
      <c r="F1" s="19"/>
      <c r="H1" s="14"/>
    </row>
    <row r="2" spans="1:20" x14ac:dyDescent="0.25">
      <c r="A2" s="7" t="s">
        <v>31</v>
      </c>
      <c r="B2" s="31"/>
      <c r="C2" s="14"/>
      <c r="D2" s="37"/>
      <c r="E2" s="37"/>
      <c r="F2" s="19"/>
      <c r="H2" s="14"/>
    </row>
    <row r="3" spans="1:20" s="5" customFormat="1" ht="20.25" customHeight="1" x14ac:dyDescent="0.25">
      <c r="A3" s="40"/>
      <c r="B3" s="9" t="s">
        <v>4</v>
      </c>
      <c r="C3" s="9" t="s">
        <v>5</v>
      </c>
      <c r="D3" s="41" t="s">
        <v>6</v>
      </c>
      <c r="E3" s="10" t="s">
        <v>7</v>
      </c>
      <c r="F3" s="17" t="s">
        <v>8</v>
      </c>
      <c r="G3" s="17" t="s">
        <v>9</v>
      </c>
      <c r="H3" s="14"/>
      <c r="I3"/>
      <c r="N3"/>
      <c r="O3"/>
      <c r="P3"/>
      <c r="Q3"/>
      <c r="R3"/>
      <c r="S3"/>
      <c r="T3"/>
    </row>
    <row r="4" spans="1:20" ht="60" x14ac:dyDescent="0.25">
      <c r="A4" s="114" t="s">
        <v>34</v>
      </c>
      <c r="B4" s="46" t="s">
        <v>35</v>
      </c>
      <c r="C4" s="46" t="s">
        <v>36</v>
      </c>
      <c r="D4" s="47"/>
      <c r="E4" s="48" t="s">
        <v>13</v>
      </c>
      <c r="F4" s="49">
        <v>0.7</v>
      </c>
      <c r="G4" s="50">
        <f>D4*F4</f>
        <v>0</v>
      </c>
      <c r="H4" s="48"/>
    </row>
    <row r="5" spans="1:20" x14ac:dyDescent="0.25">
      <c r="A5" s="51"/>
      <c r="B5" s="52"/>
      <c r="C5" s="53"/>
      <c r="D5" s="54"/>
      <c r="E5" s="52"/>
      <c r="F5" s="53" t="s">
        <v>26</v>
      </c>
      <c r="G5" s="55">
        <f>SUM(G4:G4)</f>
        <v>0</v>
      </c>
      <c r="H5" s="56"/>
    </row>
    <row r="6" spans="1:20" x14ac:dyDescent="0.25">
      <c r="A6" s="115" t="s">
        <v>40</v>
      </c>
      <c r="B6" s="13" t="s">
        <v>15</v>
      </c>
      <c r="C6" s="13" t="s">
        <v>41</v>
      </c>
      <c r="D6" s="22"/>
      <c r="E6" s="14" t="s">
        <v>17</v>
      </c>
      <c r="F6" s="19">
        <v>41</v>
      </c>
      <c r="G6" s="19">
        <f>+F6*D6</f>
        <v>0</v>
      </c>
      <c r="H6" s="14"/>
    </row>
    <row r="7" spans="1:20" ht="19.5" customHeight="1" x14ac:dyDescent="0.25">
      <c r="A7" s="40"/>
      <c r="B7" s="13" t="s">
        <v>42</v>
      </c>
      <c r="C7" s="13" t="s">
        <v>43</v>
      </c>
      <c r="D7" s="14"/>
      <c r="E7" s="14" t="s">
        <v>13</v>
      </c>
      <c r="F7" s="58">
        <v>100</v>
      </c>
      <c r="G7" s="19">
        <f>D7*F7*14/1000</f>
        <v>0</v>
      </c>
      <c r="H7" s="14"/>
    </row>
    <row r="8" spans="1:20" ht="30" x14ac:dyDescent="0.25">
      <c r="A8" s="40"/>
      <c r="B8" s="46" t="s">
        <v>45</v>
      </c>
      <c r="C8" s="46" t="s">
        <v>46</v>
      </c>
      <c r="D8" s="22"/>
      <c r="E8" s="14" t="s">
        <v>47</v>
      </c>
      <c r="F8" s="18">
        <v>230</v>
      </c>
      <c r="G8" s="50">
        <f>D8*F8</f>
        <v>0</v>
      </c>
      <c r="H8" s="14"/>
    </row>
    <row r="9" spans="1:20" x14ac:dyDescent="0.25">
      <c r="A9" s="40"/>
      <c r="B9" s="46" t="s">
        <v>50</v>
      </c>
      <c r="C9" s="46" t="s">
        <v>51</v>
      </c>
      <c r="D9" s="62"/>
      <c r="E9" s="14" t="s">
        <v>47</v>
      </c>
      <c r="F9" s="19">
        <v>200</v>
      </c>
      <c r="G9" s="50">
        <f t="shared" ref="G9" si="0">D9*F9</f>
        <v>0</v>
      </c>
      <c r="H9" s="14"/>
    </row>
    <row r="10" spans="1:20" x14ac:dyDescent="0.25">
      <c r="A10" s="40"/>
      <c r="B10" s="13"/>
      <c r="C10" s="13"/>
      <c r="D10" s="22"/>
      <c r="E10" s="14"/>
      <c r="F10" s="19"/>
      <c r="G10" s="19"/>
      <c r="H10" s="10" t="s">
        <v>53</v>
      </c>
    </row>
    <row r="11" spans="1:20" x14ac:dyDescent="0.25">
      <c r="A11" s="51"/>
      <c r="B11" s="63"/>
      <c r="C11" s="63"/>
      <c r="D11" s="64"/>
      <c r="E11" s="56"/>
      <c r="F11" s="53" t="s">
        <v>26</v>
      </c>
      <c r="G11" s="55">
        <f>SUM(G6:G10)</f>
        <v>0</v>
      </c>
      <c r="H11" s="65">
        <f>G11*0.3603</f>
        <v>0</v>
      </c>
    </row>
    <row r="12" spans="1:20" ht="15" customHeight="1" x14ac:dyDescent="0.25">
      <c r="A12" s="115" t="s">
        <v>56</v>
      </c>
      <c r="B12" s="122"/>
      <c r="C12" s="122"/>
      <c r="D12" s="122"/>
      <c r="E12" s="122"/>
      <c r="F12" s="122"/>
      <c r="G12" s="66"/>
      <c r="H12" s="67"/>
    </row>
    <row r="13" spans="1:20" ht="28.5" customHeight="1" x14ac:dyDescent="0.25">
      <c r="A13" s="45"/>
      <c r="B13" s="123" t="s">
        <v>58</v>
      </c>
      <c r="C13" s="46" t="s">
        <v>59</v>
      </c>
      <c r="D13" s="68"/>
      <c r="E13" s="48" t="s">
        <v>60</v>
      </c>
      <c r="F13" s="50">
        <v>100</v>
      </c>
      <c r="G13" s="50">
        <f>D13*F13</f>
        <v>0</v>
      </c>
      <c r="H13" s="48"/>
    </row>
    <row r="14" spans="1:20" x14ac:dyDescent="0.25">
      <c r="A14" s="45"/>
      <c r="B14" s="124"/>
      <c r="C14" s="46" t="s">
        <v>62</v>
      </c>
      <c r="D14" s="68"/>
      <c r="E14" s="48" t="s">
        <v>60</v>
      </c>
      <c r="F14" s="50">
        <v>10</v>
      </c>
      <c r="G14" s="50">
        <f t="shared" ref="G14:G15" si="1">D14*F14</f>
        <v>0</v>
      </c>
      <c r="H14" s="48"/>
    </row>
    <row r="15" spans="1:20" x14ac:dyDescent="0.25">
      <c r="A15" s="45"/>
      <c r="B15" s="70"/>
      <c r="C15" s="46" t="s">
        <v>64</v>
      </c>
      <c r="D15" s="48"/>
      <c r="E15" s="48" t="s">
        <v>47</v>
      </c>
      <c r="F15" s="50">
        <v>199</v>
      </c>
      <c r="G15" s="50">
        <f t="shared" si="1"/>
        <v>0</v>
      </c>
      <c r="H15" s="48"/>
    </row>
    <row r="16" spans="1:20" x14ac:dyDescent="0.25">
      <c r="A16" s="45"/>
      <c r="B16" s="13" t="s">
        <v>11</v>
      </c>
      <c r="C16" s="13" t="s">
        <v>12</v>
      </c>
      <c r="D16" s="112"/>
      <c r="E16" s="112" t="s">
        <v>13</v>
      </c>
      <c r="F16" s="18">
        <v>9</v>
      </c>
      <c r="G16" s="19">
        <f>+F16*D16</f>
        <v>0</v>
      </c>
      <c r="H16" s="48"/>
    </row>
    <row r="17" spans="1:19" x14ac:dyDescent="0.25">
      <c r="A17" s="45"/>
      <c r="B17" s="13" t="s">
        <v>15</v>
      </c>
      <c r="C17" s="13" t="s">
        <v>16</v>
      </c>
      <c r="D17" s="22"/>
      <c r="E17" s="112" t="s">
        <v>17</v>
      </c>
      <c r="F17" s="18">
        <v>41</v>
      </c>
      <c r="G17" s="19">
        <f>+F17*D17</f>
        <v>0</v>
      </c>
      <c r="H17" s="48"/>
    </row>
    <row r="18" spans="1:19" ht="15" customHeight="1" x14ac:dyDescent="0.25">
      <c r="A18" s="45"/>
      <c r="B18" s="13" t="s">
        <v>109</v>
      </c>
      <c r="C18" s="13" t="s">
        <v>19</v>
      </c>
      <c r="D18" s="26"/>
      <c r="E18" s="112" t="s">
        <v>20</v>
      </c>
      <c r="F18" s="27">
        <v>0.23899999999999999</v>
      </c>
      <c r="G18" s="19">
        <f>+F18*D18</f>
        <v>0</v>
      </c>
      <c r="H18" s="48"/>
    </row>
    <row r="19" spans="1:19" ht="45.75" customHeight="1" x14ac:dyDescent="0.25">
      <c r="A19" s="45"/>
      <c r="B19" s="13" t="s">
        <v>22</v>
      </c>
      <c r="C19" s="13" t="s">
        <v>23</v>
      </c>
      <c r="D19" s="26">
        <f>D18/2000</f>
        <v>0</v>
      </c>
      <c r="E19" s="112" t="s">
        <v>24</v>
      </c>
      <c r="F19" s="30">
        <v>38</v>
      </c>
      <c r="G19" s="19">
        <f>+F19*D19</f>
        <v>0</v>
      </c>
      <c r="H19" s="48"/>
    </row>
    <row r="20" spans="1:19" x14ac:dyDescent="0.25">
      <c r="A20" s="45"/>
      <c r="B20" s="46"/>
      <c r="C20" s="46"/>
      <c r="D20" s="72"/>
      <c r="E20" s="48"/>
      <c r="F20" s="50"/>
      <c r="G20" s="50"/>
      <c r="H20" s="73" t="s">
        <v>53</v>
      </c>
    </row>
    <row r="21" spans="1:19" ht="15.75" customHeight="1" x14ac:dyDescent="0.25">
      <c r="A21" s="51"/>
      <c r="B21" s="63"/>
      <c r="C21" s="63"/>
      <c r="D21" s="74"/>
      <c r="E21" s="75"/>
      <c r="F21" s="53" t="s">
        <v>26</v>
      </c>
      <c r="G21" s="55">
        <f>SUM(G12:G20)</f>
        <v>0</v>
      </c>
      <c r="H21" s="65">
        <f>G21*0.0899</f>
        <v>0</v>
      </c>
    </row>
    <row r="22" spans="1:19" ht="15" customHeight="1" x14ac:dyDescent="0.25">
      <c r="B22" s="13"/>
      <c r="D22" s="37"/>
      <c r="H22" s="14"/>
    </row>
    <row r="23" spans="1:19" ht="30" customHeight="1" x14ac:dyDescent="0.25">
      <c r="B23" s="71" t="s">
        <v>66</v>
      </c>
      <c r="C23" s="14" t="s">
        <v>67</v>
      </c>
      <c r="D23" s="71" t="s">
        <v>68</v>
      </c>
      <c r="E23" s="71" t="s">
        <v>69</v>
      </c>
      <c r="F23" s="71" t="s">
        <v>70</v>
      </c>
      <c r="G23" s="124" t="s">
        <v>71</v>
      </c>
      <c r="H23" s="124"/>
      <c r="N23" s="7"/>
      <c r="O23" s="7"/>
      <c r="P23" s="7"/>
      <c r="Q23" s="31"/>
      <c r="R23" s="32"/>
      <c r="S23" s="14"/>
    </row>
    <row r="24" spans="1:19" ht="27.75" customHeight="1" x14ac:dyDescent="0.25">
      <c r="B24" s="76">
        <v>1336500</v>
      </c>
      <c r="C24" s="77">
        <v>0.04</v>
      </c>
      <c r="D24" s="78">
        <f>G5</f>
        <v>0</v>
      </c>
      <c r="E24" s="79">
        <f>H11</f>
        <v>0</v>
      </c>
      <c r="F24" s="79">
        <f>H21</f>
        <v>0</v>
      </c>
      <c r="G24" s="125">
        <f>SUM(D24:F24)</f>
        <v>0</v>
      </c>
      <c r="H24" s="125"/>
      <c r="N24" s="14"/>
      <c r="O24" s="14"/>
      <c r="P24" s="14"/>
      <c r="Q24" s="19"/>
      <c r="R24" s="19"/>
      <c r="S24" s="14"/>
    </row>
    <row r="25" spans="1:19" x14ac:dyDescent="0.25">
      <c r="B25" s="13"/>
      <c r="D25" s="37"/>
      <c r="H25" s="14"/>
    </row>
    <row r="26" spans="1:19" x14ac:dyDescent="0.25">
      <c r="A26" s="126" t="s">
        <v>72</v>
      </c>
      <c r="B26" s="126"/>
      <c r="C26" s="126"/>
      <c r="D26" s="127">
        <f>B24+(G24/C24)</f>
        <v>1336500</v>
      </c>
      <c r="E26" s="127"/>
      <c r="F26" s="127"/>
      <c r="G26" s="127"/>
      <c r="H26" s="127"/>
    </row>
    <row r="27" spans="1:19" ht="18" customHeight="1" x14ac:dyDescent="0.3">
      <c r="A27" s="34" t="s">
        <v>118</v>
      </c>
      <c r="B27" s="31"/>
      <c r="C27" s="14"/>
      <c r="D27" s="14"/>
      <c r="E27" s="19"/>
      <c r="F27" s="19"/>
      <c r="H27" s="14"/>
    </row>
    <row r="28" spans="1:19" x14ac:dyDescent="0.25">
      <c r="A28" s="7" t="s">
        <v>31</v>
      </c>
      <c r="B28" s="31"/>
      <c r="C28" s="14"/>
      <c r="D28" s="37"/>
      <c r="E28" s="37"/>
      <c r="F28" s="19"/>
      <c r="H28" s="14"/>
      <c r="P28" s="31"/>
      <c r="Q28" s="32"/>
      <c r="R28" s="69"/>
      <c r="S28" s="69"/>
    </row>
    <row r="29" spans="1:19" x14ac:dyDescent="0.25">
      <c r="A29" s="40"/>
      <c r="B29" s="9" t="s">
        <v>4</v>
      </c>
      <c r="C29" s="9" t="s">
        <v>5</v>
      </c>
      <c r="D29" s="41" t="s">
        <v>6</v>
      </c>
      <c r="E29" s="10" t="s">
        <v>7</v>
      </c>
      <c r="F29" s="17" t="s">
        <v>8</v>
      </c>
      <c r="G29" s="17" t="s">
        <v>9</v>
      </c>
      <c r="H29" s="14"/>
      <c r="R29" s="14"/>
    </row>
    <row r="30" spans="1:19" x14ac:dyDescent="0.25">
      <c r="A30" s="40" t="s">
        <v>34</v>
      </c>
      <c r="B30" s="13" t="s">
        <v>74</v>
      </c>
      <c r="C30" s="13" t="s">
        <v>129</v>
      </c>
      <c r="D30" s="112">
        <v>24</v>
      </c>
      <c r="E30" s="112" t="s">
        <v>75</v>
      </c>
      <c r="F30" s="18">
        <v>100</v>
      </c>
      <c r="G30" s="19">
        <f>+F30*D30</f>
        <v>2400</v>
      </c>
      <c r="H30" s="112"/>
      <c r="N30" s="124"/>
      <c r="O30" s="124"/>
      <c r="P30" s="71"/>
      <c r="Q30" s="71"/>
      <c r="R30" s="124"/>
      <c r="S30" s="124"/>
    </row>
    <row r="31" spans="1:19" x14ac:dyDescent="0.25">
      <c r="A31" s="40" t="s">
        <v>105</v>
      </c>
      <c r="B31" s="13" t="s">
        <v>106</v>
      </c>
      <c r="C31" s="13" t="s">
        <v>76</v>
      </c>
      <c r="D31" s="112">
        <v>23</v>
      </c>
      <c r="E31" s="112" t="s">
        <v>47</v>
      </c>
      <c r="F31" s="18">
        <v>230</v>
      </c>
      <c r="G31" s="19">
        <f>+F31*D31</f>
        <v>5290</v>
      </c>
      <c r="H31" s="112"/>
      <c r="N31" s="113"/>
      <c r="O31" s="113"/>
      <c r="P31" s="113"/>
      <c r="Q31" s="113"/>
      <c r="R31" s="113"/>
      <c r="S31" s="113"/>
    </row>
    <row r="32" spans="1:19" x14ac:dyDescent="0.25">
      <c r="A32" s="40"/>
      <c r="B32" s="13" t="s">
        <v>77</v>
      </c>
      <c r="C32" s="13" t="s">
        <v>78</v>
      </c>
      <c r="D32" s="22">
        <v>23</v>
      </c>
      <c r="E32" s="112" t="s">
        <v>79</v>
      </c>
      <c r="F32" s="18">
        <v>94</v>
      </c>
      <c r="G32" s="19">
        <f>+F32*D32</f>
        <v>2162</v>
      </c>
      <c r="H32" s="112"/>
      <c r="J32" s="59"/>
      <c r="K32" s="61"/>
      <c r="L32" s="61"/>
      <c r="M32" s="112"/>
      <c r="N32" s="113"/>
      <c r="O32" s="113"/>
      <c r="P32" s="113"/>
      <c r="Q32" s="113"/>
      <c r="R32" s="113"/>
      <c r="S32" s="113"/>
    </row>
    <row r="33" spans="1:19" x14ac:dyDescent="0.25">
      <c r="A33" s="40"/>
      <c r="B33" s="13" t="s">
        <v>22</v>
      </c>
      <c r="C33" s="13"/>
      <c r="D33" s="26">
        <f>1756*34</f>
        <v>59704</v>
      </c>
      <c r="E33" s="112" t="s">
        <v>20</v>
      </c>
      <c r="F33" s="30">
        <v>0.1</v>
      </c>
      <c r="G33" s="19">
        <f>+F33*D33</f>
        <v>5970.4000000000005</v>
      </c>
      <c r="H33" s="112"/>
      <c r="J33" s="59"/>
      <c r="K33" s="61"/>
      <c r="L33" s="61"/>
      <c r="M33" s="112"/>
      <c r="N33" s="113"/>
      <c r="O33" s="113"/>
      <c r="P33" s="113"/>
      <c r="Q33" s="113"/>
      <c r="R33" s="113"/>
      <c r="S33" s="113"/>
    </row>
    <row r="34" spans="1:19" x14ac:dyDescent="0.25">
      <c r="A34" s="40"/>
      <c r="B34" s="13" t="s">
        <v>122</v>
      </c>
      <c r="C34" s="13" t="s">
        <v>123</v>
      </c>
      <c r="D34" s="26">
        <f>'Traditional Cost'!B16</f>
        <v>87120</v>
      </c>
      <c r="E34" s="112" t="s">
        <v>115</v>
      </c>
      <c r="F34" s="30">
        <v>0.1</v>
      </c>
      <c r="G34" s="19">
        <f>+F34*D34</f>
        <v>8712</v>
      </c>
      <c r="H34" s="112"/>
      <c r="J34" s="59"/>
      <c r="K34" s="61"/>
      <c r="L34" s="61"/>
      <c r="M34" s="112"/>
      <c r="N34" s="118"/>
      <c r="O34" s="118"/>
      <c r="P34" s="118"/>
      <c r="Q34" s="118"/>
      <c r="R34" s="118"/>
      <c r="S34" s="118"/>
    </row>
    <row r="35" spans="1:19" x14ac:dyDescent="0.25">
      <c r="A35" s="51"/>
      <c r="B35" s="52"/>
      <c r="C35" s="53"/>
      <c r="D35" s="54"/>
      <c r="E35" s="52"/>
      <c r="F35" s="53" t="s">
        <v>26</v>
      </c>
      <c r="G35" s="55">
        <f>SUM(G30:G33)</f>
        <v>15822.400000000001</v>
      </c>
      <c r="H35" s="56"/>
      <c r="J35" s="59"/>
      <c r="K35" s="61"/>
      <c r="L35" s="61"/>
      <c r="M35" s="112"/>
      <c r="N35" s="113"/>
      <c r="O35" s="113"/>
      <c r="P35" s="113"/>
      <c r="Q35" s="113"/>
      <c r="R35" s="113"/>
      <c r="S35" s="113"/>
    </row>
    <row r="36" spans="1:19" x14ac:dyDescent="0.25">
      <c r="A36" s="40"/>
      <c r="B36" s="81"/>
      <c r="C36" s="13"/>
      <c r="D36" s="22"/>
      <c r="E36" s="14"/>
      <c r="F36" s="19"/>
      <c r="G36" s="19"/>
      <c r="H36" s="10"/>
      <c r="L36" s="61"/>
    </row>
    <row r="37" spans="1:19" x14ac:dyDescent="0.25">
      <c r="A37" s="40" t="s">
        <v>56</v>
      </c>
      <c r="B37" s="128" t="s">
        <v>120</v>
      </c>
      <c r="C37" s="13" t="s">
        <v>59</v>
      </c>
      <c r="D37" s="14">
        <f>'Traditional Cost'!B17</f>
        <v>1800</v>
      </c>
      <c r="E37" s="14" t="s">
        <v>60</v>
      </c>
      <c r="F37" s="19">
        <v>100</v>
      </c>
      <c r="G37" s="19">
        <f t="shared" ref="G37:G42" si="2">+F37*D37</f>
        <v>180000</v>
      </c>
      <c r="H37" s="14"/>
      <c r="L37" s="61"/>
    </row>
    <row r="38" spans="1:19" x14ac:dyDescent="0.25">
      <c r="A38" s="40"/>
      <c r="B38" s="129"/>
      <c r="C38" s="13" t="s">
        <v>62</v>
      </c>
      <c r="D38" s="14">
        <f>D37</f>
        <v>1800</v>
      </c>
      <c r="E38" s="14" t="s">
        <v>60</v>
      </c>
      <c r="F38" s="19">
        <v>10</v>
      </c>
      <c r="G38" s="19">
        <f t="shared" si="2"/>
        <v>18000</v>
      </c>
      <c r="H38" s="14"/>
      <c r="L38" s="61"/>
    </row>
    <row r="39" spans="1:19" ht="30.75" customHeight="1" x14ac:dyDescent="0.25">
      <c r="A39" s="40"/>
      <c r="B39" s="71"/>
      <c r="C39" s="13" t="s">
        <v>64</v>
      </c>
      <c r="D39" s="14">
        <v>350</v>
      </c>
      <c r="E39" s="14" t="s">
        <v>47</v>
      </c>
      <c r="F39" s="19">
        <v>199</v>
      </c>
      <c r="G39" s="19">
        <f t="shared" si="2"/>
        <v>69650</v>
      </c>
      <c r="H39" s="14"/>
      <c r="L39" s="61"/>
    </row>
    <row r="40" spans="1:19" x14ac:dyDescent="0.25">
      <c r="A40" s="40"/>
      <c r="B40" s="13" t="s">
        <v>119</v>
      </c>
      <c r="C40" s="13" t="s">
        <v>62</v>
      </c>
      <c r="D40" s="14">
        <v>4000</v>
      </c>
      <c r="E40" s="14" t="s">
        <v>60</v>
      </c>
      <c r="F40" s="19">
        <v>10</v>
      </c>
      <c r="G40" s="19">
        <f t="shared" si="2"/>
        <v>40000</v>
      </c>
      <c r="H40" s="14"/>
      <c r="L40" s="61"/>
    </row>
    <row r="41" spans="1:19" x14ac:dyDescent="0.25">
      <c r="A41" s="40"/>
      <c r="B41" s="13"/>
      <c r="C41" s="13" t="s">
        <v>73</v>
      </c>
      <c r="D41" s="14">
        <v>40</v>
      </c>
      <c r="E41" s="14" t="s">
        <v>47</v>
      </c>
      <c r="F41" s="19">
        <v>230</v>
      </c>
      <c r="G41" s="19">
        <f t="shared" si="2"/>
        <v>9200</v>
      </c>
      <c r="H41" s="14"/>
      <c r="L41" s="61"/>
    </row>
    <row r="42" spans="1:19" x14ac:dyDescent="0.25">
      <c r="A42" s="40"/>
      <c r="B42" s="13" t="s">
        <v>126</v>
      </c>
      <c r="C42" s="13" t="s">
        <v>59</v>
      </c>
      <c r="D42" s="112">
        <v>1</v>
      </c>
      <c r="E42" s="112" t="s">
        <v>128</v>
      </c>
      <c r="F42" s="19">
        <v>50000</v>
      </c>
      <c r="G42" s="19">
        <f t="shared" si="2"/>
        <v>50000</v>
      </c>
      <c r="H42" s="112"/>
      <c r="L42" s="61"/>
    </row>
    <row r="43" spans="1:19" ht="30" x14ac:dyDescent="0.25">
      <c r="A43" s="40"/>
      <c r="B43" s="13" t="s">
        <v>121</v>
      </c>
      <c r="C43" s="13" t="s">
        <v>124</v>
      </c>
      <c r="D43" s="112">
        <f>'Traditional Cost'!B16</f>
        <v>87120</v>
      </c>
      <c r="E43" s="112" t="s">
        <v>115</v>
      </c>
      <c r="F43" s="19">
        <v>6.15</v>
      </c>
      <c r="G43" s="19">
        <f>+F43*D43</f>
        <v>535788</v>
      </c>
      <c r="H43" s="112"/>
      <c r="L43" s="61"/>
    </row>
    <row r="44" spans="1:19" ht="15" customHeight="1" x14ac:dyDescent="0.25">
      <c r="A44" s="40"/>
      <c r="B44" s="13"/>
      <c r="C44" s="13"/>
      <c r="D44" s="82"/>
      <c r="E44" s="14"/>
      <c r="F44" s="19"/>
      <c r="G44" s="19"/>
      <c r="H44" s="10" t="s">
        <v>53</v>
      </c>
      <c r="L44" s="61"/>
    </row>
    <row r="45" spans="1:19" x14ac:dyDescent="0.25">
      <c r="A45" s="51"/>
      <c r="B45" s="63"/>
      <c r="C45" s="63"/>
      <c r="D45" s="74"/>
      <c r="E45" s="75"/>
      <c r="F45" s="53" t="s">
        <v>26</v>
      </c>
      <c r="G45" s="55">
        <f>SUM(G37:G44)</f>
        <v>902638</v>
      </c>
      <c r="H45" s="65">
        <f>G45*0.0899</f>
        <v>81147.156199999998</v>
      </c>
      <c r="L45" s="61"/>
    </row>
    <row r="46" spans="1:19" x14ac:dyDescent="0.25">
      <c r="B46" s="13"/>
      <c r="D46" s="37"/>
      <c r="H46" s="14"/>
      <c r="L46" s="61"/>
    </row>
    <row r="47" spans="1:19" s="5" customFormat="1" ht="30" x14ac:dyDescent="0.25">
      <c r="A47"/>
      <c r="B47" s="71" t="s">
        <v>66</v>
      </c>
      <c r="C47" s="14" t="s">
        <v>67</v>
      </c>
      <c r="D47" s="71" t="s">
        <v>68</v>
      </c>
      <c r="E47" s="71" t="s">
        <v>69</v>
      </c>
      <c r="F47" s="71" t="s">
        <v>70</v>
      </c>
      <c r="G47" s="124" t="s">
        <v>71</v>
      </c>
      <c r="H47" s="124"/>
      <c r="I47"/>
      <c r="J47"/>
      <c r="K47"/>
      <c r="L47" s="61"/>
    </row>
    <row r="48" spans="1:19" s="5" customFormat="1" x14ac:dyDescent="0.25">
      <c r="A48"/>
      <c r="B48" s="76">
        <f>'Traditional Cost'!E25</f>
        <v>3792879.68</v>
      </c>
      <c r="C48" s="77">
        <v>0.04</v>
      </c>
      <c r="D48" s="78">
        <f>G35</f>
        <v>15822.400000000001</v>
      </c>
      <c r="E48" s="79">
        <v>0</v>
      </c>
      <c r="F48" s="79">
        <f>H45</f>
        <v>81147.156199999998</v>
      </c>
      <c r="G48" s="125">
        <f>SUM(D48:F48)</f>
        <v>96969.556199999992</v>
      </c>
      <c r="H48" s="125"/>
      <c r="I48"/>
      <c r="J48"/>
      <c r="K48"/>
      <c r="L48" s="61"/>
    </row>
    <row r="49" spans="1:12" s="5" customFormat="1" x14ac:dyDescent="0.25">
      <c r="A49"/>
      <c r="B49" s="13"/>
      <c r="C49"/>
      <c r="D49" s="37"/>
      <c r="E49"/>
      <c r="F49"/>
      <c r="G49"/>
      <c r="H49" s="14"/>
      <c r="I49"/>
      <c r="J49"/>
      <c r="K49"/>
      <c r="L49" s="61"/>
    </row>
    <row r="50" spans="1:12" s="5" customFormat="1" x14ac:dyDescent="0.25">
      <c r="A50" s="126" t="s">
        <v>72</v>
      </c>
      <c r="B50" s="126"/>
      <c r="C50" s="126"/>
      <c r="D50" s="127">
        <f>B48+(G48/C48)</f>
        <v>6217118.585</v>
      </c>
      <c r="E50" s="127"/>
      <c r="F50" s="127"/>
      <c r="G50" s="127"/>
      <c r="H50" s="127"/>
      <c r="I50"/>
      <c r="J50" s="80"/>
      <c r="K50" s="44"/>
      <c r="L50" s="44"/>
    </row>
    <row r="51" spans="1:12" s="5" customFormat="1" x14ac:dyDescent="0.25">
      <c r="A51"/>
      <c r="B51"/>
      <c r="C51"/>
      <c r="D51"/>
      <c r="E51"/>
      <c r="F51"/>
      <c r="G51"/>
      <c r="H51"/>
      <c r="I51"/>
      <c r="J51" s="80"/>
      <c r="K51" s="44"/>
      <c r="L51" s="44"/>
    </row>
    <row r="52" spans="1:12" s="5" customFormat="1" x14ac:dyDescent="0.25">
      <c r="A52"/>
      <c r="B52"/>
      <c r="C52"/>
      <c r="D52"/>
      <c r="E52"/>
      <c r="F52"/>
      <c r="G52"/>
      <c r="H52"/>
      <c r="I52"/>
      <c r="J52" s="80"/>
      <c r="K52" s="44"/>
      <c r="L52" s="44"/>
    </row>
    <row r="53" spans="1:12" s="5" customFormat="1" x14ac:dyDescent="0.25">
      <c r="A53" t="s">
        <v>80</v>
      </c>
      <c r="B53"/>
      <c r="C53"/>
      <c r="D53"/>
      <c r="E53"/>
      <c r="F53"/>
      <c r="G53"/>
      <c r="H53"/>
      <c r="I53"/>
      <c r="J53" s="80"/>
      <c r="K53" s="44"/>
      <c r="L53" s="44"/>
    </row>
    <row r="54" spans="1:12" s="5" customFormat="1" x14ac:dyDescent="0.25">
      <c r="A54"/>
      <c r="B54" t="s">
        <v>81</v>
      </c>
      <c r="C54"/>
      <c r="D54"/>
      <c r="E54"/>
      <c r="F54"/>
      <c r="G54"/>
      <c r="H54"/>
      <c r="I54"/>
      <c r="J54" s="80"/>
      <c r="K54" s="44"/>
      <c r="L54" s="44"/>
    </row>
    <row r="55" spans="1:12" x14ac:dyDescent="0.25">
      <c r="B55" t="s">
        <v>82</v>
      </c>
    </row>
    <row r="56" spans="1:12" x14ac:dyDescent="0.25">
      <c r="B56" t="s">
        <v>125</v>
      </c>
    </row>
    <row r="57" spans="1:12" x14ac:dyDescent="0.25">
      <c r="B57" s="84" t="s">
        <v>83</v>
      </c>
      <c r="C57" s="2"/>
      <c r="D57" s="3"/>
      <c r="E57" s="4"/>
    </row>
    <row r="58" spans="1:12" x14ac:dyDescent="0.25">
      <c r="B58" s="84" t="s">
        <v>84</v>
      </c>
      <c r="C58" s="2"/>
      <c r="D58" s="3"/>
      <c r="E58" s="4"/>
    </row>
    <row r="60" spans="1:12" ht="21" x14ac:dyDescent="0.35">
      <c r="H60" s="83"/>
    </row>
    <row r="70" spans="8:9" x14ac:dyDescent="0.25">
      <c r="H70" s="5"/>
    </row>
    <row r="71" spans="8:9" ht="21" x14ac:dyDescent="0.35">
      <c r="I71" s="83"/>
    </row>
    <row r="73" spans="8:9" x14ac:dyDescent="0.25">
      <c r="H73" s="5"/>
    </row>
    <row r="88" spans="1:8" s="5" customFormat="1" x14ac:dyDescent="0.25">
      <c r="H88"/>
    </row>
    <row r="91" spans="1:8" s="5" customFormat="1" x14ac:dyDescent="0.25">
      <c r="A91"/>
      <c r="B91"/>
      <c r="C91"/>
      <c r="D91"/>
      <c r="E91"/>
      <c r="F91"/>
      <c r="G91"/>
      <c r="H91"/>
    </row>
  </sheetData>
  <mergeCells count="15">
    <mergeCell ref="B37:B38"/>
    <mergeCell ref="G47:H47"/>
    <mergeCell ref="G48:H48"/>
    <mergeCell ref="A50:C50"/>
    <mergeCell ref="D50:E50"/>
    <mergeCell ref="F50:H50"/>
    <mergeCell ref="B12:F12"/>
    <mergeCell ref="B13:B14"/>
    <mergeCell ref="N30:O30"/>
    <mergeCell ref="R30:S30"/>
    <mergeCell ref="G23:H23"/>
    <mergeCell ref="G24:H24"/>
    <mergeCell ref="A26:C26"/>
    <mergeCell ref="D26:E26"/>
    <mergeCell ref="F26:H26"/>
  </mergeCells>
  <pageMargins left="0.7" right="0.7" top="0.75" bottom="0.75" header="0.3" footer="0.3"/>
  <pageSetup paperSize="17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22" sqref="F22"/>
    </sheetView>
  </sheetViews>
  <sheetFormatPr defaultRowHeight="15" x14ac:dyDescent="0.25"/>
  <cols>
    <col min="1" max="1" width="33.85546875" customWidth="1"/>
    <col min="2" max="2" width="11.28515625" customWidth="1"/>
    <col min="3" max="3" width="9.140625" bestFit="1" customWidth="1"/>
    <col min="4" max="4" width="10.42578125" bestFit="1" customWidth="1"/>
    <col min="5" max="5" width="12.28515625" customWidth="1"/>
    <col min="6" max="6" width="11.140625" bestFit="1" customWidth="1"/>
  </cols>
  <sheetData>
    <row r="1" spans="1:7" ht="21" x14ac:dyDescent="0.35">
      <c r="A1" s="34" t="s">
        <v>117</v>
      </c>
      <c r="B1" s="83"/>
      <c r="C1" s="83"/>
      <c r="D1" s="83"/>
      <c r="E1" s="85"/>
      <c r="F1" s="83"/>
      <c r="G1" s="83"/>
    </row>
    <row r="2" spans="1:7" x14ac:dyDescent="0.25">
      <c r="A2" s="7" t="s">
        <v>85</v>
      </c>
      <c r="B2" s="14"/>
      <c r="C2" s="14"/>
      <c r="D2" s="19"/>
      <c r="E2" s="19"/>
    </row>
    <row r="3" spans="1:7" x14ac:dyDescent="0.25">
      <c r="A3" s="7"/>
      <c r="B3" s="14"/>
      <c r="C3" s="14"/>
      <c r="D3" s="19"/>
      <c r="E3" s="19"/>
    </row>
    <row r="4" spans="1:7" x14ac:dyDescent="0.25">
      <c r="A4" s="10" t="s">
        <v>4</v>
      </c>
      <c r="B4" s="10" t="s">
        <v>6</v>
      </c>
      <c r="C4" s="10" t="s">
        <v>7</v>
      </c>
      <c r="D4" s="17" t="s">
        <v>8</v>
      </c>
      <c r="E4" s="17" t="s">
        <v>9</v>
      </c>
    </row>
    <row r="5" spans="1:7" x14ac:dyDescent="0.25">
      <c r="A5" s="86" t="s">
        <v>86</v>
      </c>
      <c r="B5" s="10"/>
      <c r="C5" s="10"/>
      <c r="D5" s="17"/>
      <c r="E5" s="17"/>
    </row>
    <row r="6" spans="1:7" x14ac:dyDescent="0.25">
      <c r="A6" t="s">
        <v>87</v>
      </c>
      <c r="B6" s="119">
        <v>1</v>
      </c>
      <c r="C6" s="14" t="s">
        <v>88</v>
      </c>
      <c r="D6" s="18">
        <v>140000</v>
      </c>
      <c r="E6" s="19">
        <f t="shared" ref="E6:E17" si="0">B6*D6</f>
        <v>140000</v>
      </c>
    </row>
    <row r="7" spans="1:7" x14ac:dyDescent="0.25">
      <c r="A7" t="s">
        <v>89</v>
      </c>
      <c r="B7" s="119">
        <v>1</v>
      </c>
      <c r="C7" s="14" t="s">
        <v>88</v>
      </c>
      <c r="D7" s="18">
        <v>30000</v>
      </c>
      <c r="E7" s="19">
        <f t="shared" si="0"/>
        <v>30000</v>
      </c>
    </row>
    <row r="8" spans="1:7" x14ac:dyDescent="0.25">
      <c r="A8" t="s">
        <v>90</v>
      </c>
      <c r="B8" s="119">
        <v>1</v>
      </c>
      <c r="C8" s="14" t="s">
        <v>88</v>
      </c>
      <c r="D8" s="18">
        <v>15000</v>
      </c>
      <c r="E8" s="19">
        <f t="shared" si="0"/>
        <v>15000</v>
      </c>
    </row>
    <row r="9" spans="1:7" x14ac:dyDescent="0.25">
      <c r="A9" t="s">
        <v>91</v>
      </c>
      <c r="B9" s="119">
        <f>B14*D29</f>
        <v>67</v>
      </c>
      <c r="C9" s="14" t="s">
        <v>17</v>
      </c>
      <c r="D9" s="19">
        <v>15</v>
      </c>
      <c r="E9" s="19">
        <f t="shared" si="0"/>
        <v>1005</v>
      </c>
    </row>
    <row r="10" spans="1:7" x14ac:dyDescent="0.25">
      <c r="A10" t="s">
        <v>92</v>
      </c>
      <c r="B10" s="119">
        <f>B9</f>
        <v>67</v>
      </c>
      <c r="C10" s="14" t="s">
        <v>17</v>
      </c>
      <c r="D10" s="19">
        <v>5</v>
      </c>
      <c r="E10" s="19">
        <f t="shared" si="0"/>
        <v>335</v>
      </c>
    </row>
    <row r="11" spans="1:7" x14ac:dyDescent="0.25">
      <c r="A11" s="5" t="s">
        <v>112</v>
      </c>
      <c r="B11" s="120">
        <v>1200</v>
      </c>
      <c r="C11" s="87" t="s">
        <v>93</v>
      </c>
      <c r="D11" s="18">
        <v>1000</v>
      </c>
      <c r="E11" s="19">
        <f t="shared" si="0"/>
        <v>1200000</v>
      </c>
      <c r="F11" s="5"/>
      <c r="G11" s="5"/>
    </row>
    <row r="12" spans="1:7" x14ac:dyDescent="0.25">
      <c r="A12" t="s">
        <v>94</v>
      </c>
      <c r="B12" s="119">
        <v>4</v>
      </c>
      <c r="C12" s="14" t="s">
        <v>95</v>
      </c>
      <c r="D12" s="19">
        <v>10000</v>
      </c>
      <c r="E12" s="19">
        <f t="shared" si="0"/>
        <v>40000</v>
      </c>
    </row>
    <row r="13" spans="1:7" x14ac:dyDescent="0.25">
      <c r="A13" t="s">
        <v>130</v>
      </c>
      <c r="B13" s="119">
        <v>8</v>
      </c>
      <c r="C13" s="112" t="s">
        <v>95</v>
      </c>
      <c r="D13" s="19">
        <v>500</v>
      </c>
      <c r="E13" s="19">
        <f t="shared" si="0"/>
        <v>4000</v>
      </c>
    </row>
    <row r="14" spans="1:7" x14ac:dyDescent="0.25">
      <c r="A14" t="s">
        <v>111</v>
      </c>
      <c r="B14" s="119">
        <v>1</v>
      </c>
      <c r="C14" s="14" t="s">
        <v>95</v>
      </c>
      <c r="D14" s="19">
        <v>250000</v>
      </c>
      <c r="E14" s="19">
        <f t="shared" si="0"/>
        <v>250000</v>
      </c>
    </row>
    <row r="15" spans="1:7" x14ac:dyDescent="0.25">
      <c r="A15" t="s">
        <v>126</v>
      </c>
      <c r="B15" s="119">
        <v>1</v>
      </c>
      <c r="C15" s="112" t="s">
        <v>127</v>
      </c>
      <c r="D15" s="19">
        <v>50000</v>
      </c>
      <c r="E15" s="19">
        <f t="shared" si="0"/>
        <v>50000</v>
      </c>
    </row>
    <row r="16" spans="1:7" x14ac:dyDescent="0.25">
      <c r="A16" t="s">
        <v>114</v>
      </c>
      <c r="B16" s="119">
        <v>87120</v>
      </c>
      <c r="C16" s="112" t="s">
        <v>115</v>
      </c>
      <c r="D16" s="27">
        <v>6.15</v>
      </c>
      <c r="E16" s="19">
        <f t="shared" si="0"/>
        <v>535788</v>
      </c>
    </row>
    <row r="17" spans="1:7" x14ac:dyDescent="0.25">
      <c r="A17" s="5" t="s">
        <v>116</v>
      </c>
      <c r="B17" s="120">
        <v>1800</v>
      </c>
      <c r="C17" s="87" t="s">
        <v>24</v>
      </c>
      <c r="D17" s="18">
        <v>90</v>
      </c>
      <c r="E17" s="19">
        <f t="shared" si="0"/>
        <v>162000</v>
      </c>
      <c r="F17" s="116"/>
      <c r="G17" s="117"/>
    </row>
    <row r="18" spans="1:7" x14ac:dyDescent="0.25">
      <c r="B18" s="22"/>
      <c r="C18" s="14"/>
      <c r="D18" s="19"/>
      <c r="E18" s="19"/>
    </row>
    <row r="19" spans="1:7" x14ac:dyDescent="0.25">
      <c r="A19" s="7" t="s">
        <v>96</v>
      </c>
      <c r="B19" s="88"/>
      <c r="C19" s="10"/>
      <c r="D19" s="89"/>
      <c r="E19" s="89">
        <f>SUM(E6:E18)</f>
        <v>2428128</v>
      </c>
    </row>
    <row r="20" spans="1:7" x14ac:dyDescent="0.25">
      <c r="A20" t="s">
        <v>97</v>
      </c>
      <c r="B20" s="90">
        <v>0.2</v>
      </c>
      <c r="C20" s="14"/>
      <c r="D20" s="19"/>
      <c r="E20" s="19">
        <f>E19*0.2</f>
        <v>485625.60000000003</v>
      </c>
    </row>
    <row r="21" spans="1:7" x14ac:dyDescent="0.25">
      <c r="A21" s="91" t="s">
        <v>98</v>
      </c>
      <c r="B21" s="92"/>
      <c r="C21" s="92"/>
      <c r="D21" s="93"/>
      <c r="E21" s="93">
        <f>SUM(E19:E20)</f>
        <v>2913753.6</v>
      </c>
      <c r="F21" s="121"/>
    </row>
    <row r="22" spans="1:7" x14ac:dyDescent="0.25">
      <c r="A22" s="94" t="s">
        <v>99</v>
      </c>
      <c r="B22" s="95">
        <v>0.05</v>
      </c>
      <c r="C22" s="96"/>
      <c r="D22" s="97"/>
      <c r="E22" s="19">
        <v>5000</v>
      </c>
    </row>
    <row r="23" spans="1:7" x14ac:dyDescent="0.25">
      <c r="A23" t="s">
        <v>100</v>
      </c>
      <c r="B23" s="77">
        <v>0.15</v>
      </c>
      <c r="C23" s="14"/>
      <c r="D23" s="19"/>
      <c r="E23" s="19">
        <f>E21*0.15</f>
        <v>437063.04</v>
      </c>
    </row>
    <row r="24" spans="1:7" x14ac:dyDescent="0.25">
      <c r="A24" t="s">
        <v>101</v>
      </c>
      <c r="B24" s="77">
        <v>0.15</v>
      </c>
      <c r="C24" s="14"/>
      <c r="D24" s="19"/>
      <c r="E24" s="19">
        <f>E21*0.15</f>
        <v>437063.04</v>
      </c>
    </row>
    <row r="25" spans="1:7" x14ac:dyDescent="0.25">
      <c r="A25" s="7" t="s">
        <v>102</v>
      </c>
      <c r="B25" s="10"/>
      <c r="C25" s="10"/>
      <c r="D25" s="89"/>
      <c r="E25" s="89">
        <f>SUM(E21:E24)</f>
        <v>3792879.68</v>
      </c>
      <c r="G25" s="76"/>
    </row>
    <row r="26" spans="1:7" x14ac:dyDescent="0.25">
      <c r="B26" s="14"/>
      <c r="C26" s="14"/>
      <c r="D26" s="19"/>
      <c r="E26" s="19"/>
    </row>
    <row r="27" spans="1:7" ht="15.75" thickBot="1" x14ac:dyDescent="0.3"/>
    <row r="28" spans="1:7" ht="30" x14ac:dyDescent="0.25">
      <c r="A28" s="98" t="s">
        <v>94</v>
      </c>
      <c r="B28" s="99" t="s">
        <v>113</v>
      </c>
      <c r="C28" s="99" t="s">
        <v>103</v>
      </c>
      <c r="D28" s="99" t="s">
        <v>104</v>
      </c>
      <c r="E28" s="100"/>
    </row>
    <row r="29" spans="1:7" x14ac:dyDescent="0.25">
      <c r="A29" s="101" t="s">
        <v>131</v>
      </c>
      <c r="B29" s="3">
        <v>180</v>
      </c>
      <c r="C29" s="3">
        <v>6</v>
      </c>
      <c r="D29" s="102">
        <v>67</v>
      </c>
      <c r="E29" s="103"/>
    </row>
    <row r="30" spans="1:7" x14ac:dyDescent="0.25">
      <c r="A30" s="104"/>
      <c r="B30" s="2"/>
      <c r="C30" s="3"/>
      <c r="D30" s="105"/>
      <c r="E30" s="106"/>
    </row>
    <row r="31" spans="1:7" ht="15.75" thickBot="1" x14ac:dyDescent="0.3">
      <c r="A31" s="107"/>
      <c r="B31" s="108"/>
      <c r="C31" s="109"/>
      <c r="D31" s="110"/>
      <c r="E31" s="1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36" sqref="C36"/>
    </sheetView>
  </sheetViews>
  <sheetFormatPr defaultRowHeight="15" x14ac:dyDescent="0.25"/>
  <cols>
    <col min="1" max="1" width="24" customWidth="1"/>
    <col min="2" max="2" width="34.5703125" bestFit="1" customWidth="1"/>
    <col min="3" max="3" width="17.855468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6"/>
      <c r="B3" s="6"/>
      <c r="C3" s="6"/>
    </row>
    <row r="4" spans="1:3" x14ac:dyDescent="0.25">
      <c r="A4" s="1" t="s">
        <v>2</v>
      </c>
      <c r="B4" s="8"/>
      <c r="C4" s="8"/>
    </row>
    <row r="5" spans="1:3" x14ac:dyDescent="0.25">
      <c r="A5" s="11"/>
      <c r="B5" s="12" t="s">
        <v>108</v>
      </c>
      <c r="C5" s="12" t="s">
        <v>107</v>
      </c>
    </row>
    <row r="6" spans="1:3" x14ac:dyDescent="0.25">
      <c r="A6" s="15" t="s">
        <v>3</v>
      </c>
      <c r="B6" s="16">
        <f>'Traditional Cost'!E25</f>
        <v>3792879.68</v>
      </c>
      <c r="C6" s="16">
        <f>'GSI &amp; Traditional O&amp;M'!B24</f>
        <v>1336500</v>
      </c>
    </row>
    <row r="7" spans="1:3" x14ac:dyDescent="0.25">
      <c r="A7" s="15" t="s">
        <v>10</v>
      </c>
      <c r="B7" s="16">
        <f>'GSI &amp; Traditional O&amp;M'!G35</f>
        <v>15822.400000000001</v>
      </c>
      <c r="C7" s="16">
        <f>'GSI &amp; Traditional O&amp;M'!G5</f>
        <v>0</v>
      </c>
    </row>
    <row r="8" spans="1:3" x14ac:dyDescent="0.25">
      <c r="A8" s="20" t="s">
        <v>14</v>
      </c>
      <c r="B8" s="21"/>
      <c r="C8" s="21">
        <f>'GSI &amp; Traditional O&amp;M'!G11</f>
        <v>0</v>
      </c>
    </row>
    <row r="9" spans="1:3" x14ac:dyDescent="0.25">
      <c r="A9" s="23" t="s">
        <v>18</v>
      </c>
      <c r="B9" s="24"/>
      <c r="C9" s="25">
        <v>3</v>
      </c>
    </row>
    <row r="10" spans="1:3" ht="26.25" x14ac:dyDescent="0.25">
      <c r="A10" s="28" t="s">
        <v>21</v>
      </c>
      <c r="B10" s="29"/>
      <c r="C10" s="29">
        <f>'GSI &amp; Traditional O&amp;M'!H11</f>
        <v>0</v>
      </c>
    </row>
    <row r="11" spans="1:3" x14ac:dyDescent="0.25">
      <c r="A11" s="15" t="s">
        <v>25</v>
      </c>
      <c r="B11" s="16">
        <f>'GSI &amp; Traditional O&amp;M'!G45</f>
        <v>902638</v>
      </c>
      <c r="C11" s="16">
        <f>'GSI &amp; Traditional O&amp;M'!G21</f>
        <v>0</v>
      </c>
    </row>
    <row r="12" spans="1:3" x14ac:dyDescent="0.25">
      <c r="A12" s="15" t="s">
        <v>27</v>
      </c>
      <c r="B12" s="25">
        <v>15</v>
      </c>
      <c r="C12" s="25">
        <v>15</v>
      </c>
    </row>
    <row r="13" spans="1:3" ht="26.25" x14ac:dyDescent="0.25">
      <c r="A13" s="28" t="s">
        <v>28</v>
      </c>
      <c r="B13" s="29">
        <f>'GSI &amp; Traditional O&amp;M'!H45</f>
        <v>81147.156199999998</v>
      </c>
      <c r="C13" s="29">
        <f>'GSI &amp; Traditional O&amp;M'!H21</f>
        <v>0</v>
      </c>
    </row>
    <row r="14" spans="1:3" x14ac:dyDescent="0.25">
      <c r="A14" s="33" t="s">
        <v>29</v>
      </c>
      <c r="B14" s="33">
        <f>B6+(B7+B10+B13)/B18</f>
        <v>6217118.585</v>
      </c>
      <c r="C14" s="33">
        <f>C6+(C7+C10+C13)/B22</f>
        <v>1336500</v>
      </c>
    </row>
    <row r="15" spans="1:3" x14ac:dyDescent="0.25">
      <c r="A15" s="11" t="s">
        <v>30</v>
      </c>
      <c r="B15" s="11">
        <f>B6+B7*B30+B11*B29+B8*(SUM(B24:B28))</f>
        <v>4509145.7241200004</v>
      </c>
      <c r="C15" s="11">
        <f>C6+C7*B30+C11*B29+C8*(SUM(B24:B28))</f>
        <v>1336500</v>
      </c>
    </row>
    <row r="16" spans="1:3" x14ac:dyDescent="0.25">
      <c r="A16" s="35"/>
      <c r="B16" s="36"/>
      <c r="C16" s="36"/>
    </row>
    <row r="17" spans="1:4" x14ac:dyDescent="0.25">
      <c r="A17" s="38" t="s">
        <v>32</v>
      </c>
      <c r="B17" s="38"/>
      <c r="C17" s="39"/>
    </row>
    <row r="18" spans="1:4" x14ac:dyDescent="0.25">
      <c r="A18" s="42" t="s">
        <v>33</v>
      </c>
      <c r="B18" s="43">
        <v>0.04</v>
      </c>
      <c r="C18" s="44"/>
    </row>
    <row r="19" spans="1:4" x14ac:dyDescent="0.25">
      <c r="A19" s="38" t="s">
        <v>37</v>
      </c>
      <c r="B19" s="38"/>
      <c r="C19" s="15"/>
    </row>
    <row r="20" spans="1:4" x14ac:dyDescent="0.25">
      <c r="A20" s="57" t="s">
        <v>38</v>
      </c>
      <c r="B20" s="15" t="s">
        <v>39</v>
      </c>
      <c r="C20" s="44"/>
    </row>
    <row r="21" spans="1:4" x14ac:dyDescent="0.25">
      <c r="A21" s="15"/>
      <c r="B21" s="57"/>
      <c r="C21" s="57"/>
    </row>
    <row r="22" spans="1:4" x14ac:dyDescent="0.25">
      <c r="A22" s="59" t="s">
        <v>44</v>
      </c>
      <c r="B22" s="60">
        <v>0.04</v>
      </c>
      <c r="C22" s="60"/>
    </row>
    <row r="23" spans="1:4" x14ac:dyDescent="0.25">
      <c r="A23" s="59" t="s">
        <v>48</v>
      </c>
      <c r="B23" s="61" t="s">
        <v>49</v>
      </c>
      <c r="C23" s="57"/>
      <c r="D23" s="31"/>
    </row>
    <row r="24" spans="1:4" x14ac:dyDescent="0.25">
      <c r="A24" s="59" t="s">
        <v>52</v>
      </c>
      <c r="B24" s="61">
        <v>0.88900000000000001</v>
      </c>
      <c r="D24" s="13"/>
    </row>
    <row r="25" spans="1:4" x14ac:dyDescent="0.25">
      <c r="A25" s="59" t="s">
        <v>54</v>
      </c>
      <c r="B25" s="61">
        <v>0.7903</v>
      </c>
      <c r="C25" s="61"/>
    </row>
    <row r="26" spans="1:4" x14ac:dyDescent="0.25">
      <c r="A26" s="59" t="s">
        <v>55</v>
      </c>
      <c r="B26" s="61">
        <v>0.7026</v>
      </c>
      <c r="C26" s="61"/>
    </row>
    <row r="27" spans="1:4" x14ac:dyDescent="0.25">
      <c r="A27" s="59" t="s">
        <v>57</v>
      </c>
      <c r="B27" s="61">
        <v>0.62460000000000004</v>
      </c>
      <c r="C27" s="61"/>
    </row>
    <row r="28" spans="1:4" x14ac:dyDescent="0.25">
      <c r="A28" s="59" t="s">
        <v>61</v>
      </c>
      <c r="B28" s="61">
        <v>0.49359999999999998</v>
      </c>
      <c r="C28" s="61"/>
      <c r="D28" s="13"/>
    </row>
    <row r="29" spans="1:4" x14ac:dyDescent="0.25">
      <c r="A29" s="59" t="s">
        <v>63</v>
      </c>
      <c r="B29" s="61">
        <v>0.55530000000000002</v>
      </c>
      <c r="C29" s="61"/>
    </row>
    <row r="30" spans="1:4" x14ac:dyDescent="0.25">
      <c r="A30" s="59" t="s">
        <v>65</v>
      </c>
      <c r="B30" s="61">
        <v>13.590299999999999</v>
      </c>
      <c r="C30" s="61"/>
      <c r="D30" s="14"/>
    </row>
    <row r="31" spans="1:4" x14ac:dyDescent="0.25">
      <c r="A31" s="59"/>
      <c r="B31" s="61"/>
      <c r="C31" s="61"/>
      <c r="D31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GSI &amp; Traditional O&amp;M</vt:lpstr>
      <vt:lpstr>Traditional Cost</vt:lpstr>
      <vt:lpstr>PW &amp; CAC</vt:lpstr>
    </vt:vector>
  </TitlesOfParts>
  <Company>City of Tacoma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Deleon, Dana</dc:creator>
  <cp:lastModifiedBy>Knickerbocker, Jessica</cp:lastModifiedBy>
  <cp:lastPrinted>2014-11-07T21:21:20Z</cp:lastPrinted>
  <dcterms:created xsi:type="dcterms:W3CDTF">2014-11-07T20:06:09Z</dcterms:created>
  <dcterms:modified xsi:type="dcterms:W3CDTF">2014-11-18T00:12:32Z</dcterms:modified>
</cp:coreProperties>
</file>